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13_ncr:1_{EE8CB754-C483-41F4-A775-BC868E871845}" xr6:coauthVersionLast="41" xr6:coauthVersionMax="41" xr10:uidLastSave="{00000000-0000-0000-0000-000000000000}"/>
  <workbookProtection workbookAlgorithmName="SHA-512" workbookHashValue="WZO2109nySbB/wLfeieECsfjHsvWLfakRaWwl9HUDMBezbVFrBY0LTAZd1I2R0uFzrtrG2UUn2LyFy2wnYmsow==" workbookSaltValue="VDCrMqxHwQiuiMrEkyVyzA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  <sheet name="Data" sheetId="2" state="hidden" r:id="rId2"/>
  </sheets>
  <definedNames>
    <definedName name="kopl400">Data!$D$3:$F$3</definedName>
    <definedName name="Kopplingstyp1">Data!$D$3:$F$3</definedName>
    <definedName name="Panelmodell">Data!$A$3:$A$13</definedName>
    <definedName name="_xlnm.Print_Area" localSheetId="0">Blad1!$A$1:$J$46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M13" i="2"/>
  <c r="C31" i="1" s="1"/>
  <c r="M14" i="2"/>
  <c r="M15" i="2"/>
  <c r="M11" i="2"/>
  <c r="M4" i="2"/>
  <c r="M5" i="2"/>
  <c r="M6" i="2"/>
  <c r="M7" i="2"/>
  <c r="M8" i="2"/>
  <c r="M9" i="2"/>
  <c r="M10" i="2"/>
  <c r="M3" i="2"/>
  <c r="C25" i="1" l="1"/>
  <c r="C24" i="1"/>
  <c r="C23" i="1"/>
  <c r="C22" i="1"/>
  <c r="N14" i="2"/>
  <c r="N15" i="2"/>
  <c r="N12" i="2"/>
  <c r="J36" i="1" l="1"/>
  <c r="J37" i="1" s="1"/>
  <c r="N13" i="2" l="1"/>
  <c r="N11" i="2"/>
  <c r="J25" i="2" l="1"/>
  <c r="I25" i="2" s="1"/>
  <c r="J26" i="2"/>
  <c r="I26" i="2" s="1"/>
  <c r="G25" i="2"/>
  <c r="F25" i="2" s="1"/>
  <c r="G26" i="2"/>
  <c r="F26" i="2" s="1"/>
  <c r="D25" i="2"/>
  <c r="C25" i="2" s="1"/>
  <c r="D26" i="2"/>
  <c r="C26" i="2" s="1"/>
  <c r="J24" i="2"/>
  <c r="I24" i="2" s="1"/>
  <c r="G24" i="2"/>
  <c r="F24" i="2" s="1"/>
  <c r="D24" i="2"/>
  <c r="C24" i="2" s="1"/>
  <c r="I28" i="2"/>
  <c r="F28" i="2"/>
  <c r="I27" i="2"/>
  <c r="F27" i="2"/>
  <c r="C29" i="1"/>
  <c r="L11" i="2" l="1"/>
  <c r="L3" i="2"/>
  <c r="L12" i="2"/>
  <c r="L7" i="2"/>
  <c r="L4" i="2"/>
  <c r="L6" i="2"/>
  <c r="L10" i="2"/>
  <c r="L14" i="2"/>
  <c r="L9" i="2"/>
  <c r="L15" i="2"/>
  <c r="L8" i="2"/>
  <c r="L13" i="2"/>
  <c r="L5" i="2"/>
  <c r="C28" i="2"/>
  <c r="C27" i="2"/>
  <c r="C30" i="1" l="1"/>
  <c r="C18" i="1"/>
  <c r="C13" i="1"/>
  <c r="G10" i="2" l="1"/>
  <c r="I10" i="2" s="1"/>
  <c r="G6" i="2"/>
  <c r="I14" i="2"/>
  <c r="H10" i="2"/>
  <c r="H5" i="2"/>
  <c r="H9" i="2"/>
  <c r="G4" i="2"/>
  <c r="I4" i="2" s="1"/>
  <c r="H7" i="2"/>
  <c r="G7" i="2"/>
  <c r="I7" i="2" s="1"/>
  <c r="I15" i="2"/>
  <c r="H6" i="2"/>
  <c r="G9" i="2"/>
  <c r="I9" i="2" s="1"/>
  <c r="G5" i="2"/>
  <c r="I5" i="2" s="1"/>
  <c r="I13" i="2"/>
  <c r="H4" i="2"/>
  <c r="G8" i="2"/>
  <c r="I8" i="2" s="1"/>
  <c r="I12" i="2"/>
  <c r="H8" i="2"/>
  <c r="I11" i="2"/>
  <c r="H3" i="2"/>
  <c r="G3" i="2"/>
  <c r="C40" i="1"/>
  <c r="C41" i="1" s="1"/>
  <c r="I6" i="2" l="1"/>
  <c r="I3" i="2"/>
  <c r="C26" i="1" s="1"/>
  <c r="C33" i="1" s="1"/>
  <c r="I45" i="1"/>
  <c r="I44" i="1"/>
  <c r="C34" i="1" l="1"/>
  <c r="C36" i="1"/>
  <c r="C43" i="1" s="1"/>
  <c r="C35" i="1"/>
  <c r="I43" i="1" s="1"/>
  <c r="C37" i="1" l="1"/>
  <c r="C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 Lindström</author>
  </authors>
  <commentList>
    <comment ref="C43" authorId="0" shapeId="0" xr:uid="{A5C55953-19DE-4A68-8B27-19D57424EC9F}">
      <text>
        <r>
          <rPr>
            <b/>
            <sz val="9"/>
            <color indexed="81"/>
            <rFont val="Tahoma"/>
            <family val="2"/>
          </rPr>
          <t>Om totala effekten är 0,0kW ger valda parametrar för lågt flöde för att korrekt effekt ska kunna beräknas.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L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L-0,5m</t>
        </r>
      </text>
    </comment>
    <comment ref="L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L-0,5m</t>
        </r>
      </text>
    </comment>
  </commentList>
</comments>
</file>

<file path=xl/sharedStrings.xml><?xml version="1.0" encoding="utf-8"?>
<sst xmlns="http://schemas.openxmlformats.org/spreadsheetml/2006/main" count="164" uniqueCount="123">
  <si>
    <t>Bredd</t>
  </si>
  <si>
    <t>Kopplingstyp</t>
  </si>
  <si>
    <t>Antal paneler/stråk</t>
  </si>
  <si>
    <t>Bygglängd</t>
  </si>
  <si>
    <t>Effektlängd</t>
  </si>
  <si>
    <t>Tryckfall</t>
  </si>
  <si>
    <t>m</t>
  </si>
  <si>
    <t>m2</t>
  </si>
  <si>
    <t>°C</t>
  </si>
  <si>
    <t>mm</t>
  </si>
  <si>
    <t>kg</t>
  </si>
  <si>
    <t>W</t>
  </si>
  <si>
    <t>kW</t>
  </si>
  <si>
    <t>W/m2</t>
  </si>
  <si>
    <t>l/s</t>
  </si>
  <si>
    <t>l/h</t>
  </si>
  <si>
    <t>kPa</t>
  </si>
  <si>
    <t>P</t>
  </si>
  <si>
    <t>Paneltyp</t>
  </si>
  <si>
    <t>Ansl</t>
  </si>
  <si>
    <t>D</t>
  </si>
  <si>
    <t>S</t>
  </si>
  <si>
    <t>Effekt/m&lt;25</t>
  </si>
  <si>
    <t>Effekt /m&gt;=25</t>
  </si>
  <si>
    <t>Effekt/m</t>
  </si>
  <si>
    <t>Beräkning 1</t>
  </si>
  <si>
    <t>Beräkning 2</t>
  </si>
  <si>
    <t>Beräkning 3</t>
  </si>
  <si>
    <t>casa</t>
  </si>
  <si>
    <t>arena</t>
  </si>
  <si>
    <t xml:space="preserve">Effektlängd </t>
  </si>
  <si>
    <t>Vikt/m tom</t>
  </si>
  <si>
    <t>Vikt/m fylld</t>
  </si>
  <si>
    <t>1.</t>
  </si>
  <si>
    <t>2.</t>
  </si>
  <si>
    <t>3.</t>
  </si>
  <si>
    <t>4.</t>
  </si>
  <si>
    <t>5.</t>
  </si>
  <si>
    <t>6.</t>
  </si>
  <si>
    <t>7.</t>
  </si>
  <si>
    <t>Revisionshistorik</t>
  </si>
  <si>
    <t>Uppdaterar vikter för alla samt effektlängd för Casa</t>
  </si>
  <si>
    <t xml:space="preserve">8. </t>
  </si>
  <si>
    <t>K</t>
  </si>
  <si>
    <t>n</t>
  </si>
  <si>
    <t>Min flöde</t>
  </si>
  <si>
    <t>Casa 400 P</t>
  </si>
  <si>
    <t>Casa 400 D</t>
  </si>
  <si>
    <t>Casa 800 P</t>
  </si>
  <si>
    <t>Casa 800 D</t>
  </si>
  <si>
    <t>Casa 800 S</t>
  </si>
  <si>
    <t>Casa 1200 P</t>
  </si>
  <si>
    <t>Casa 1200 D</t>
  </si>
  <si>
    <t>Casa 1200 S</t>
  </si>
  <si>
    <t>Arena 615 P</t>
  </si>
  <si>
    <t>Arena 615 D</t>
  </si>
  <si>
    <t>Arena 900 P</t>
  </si>
  <si>
    <t>Arena 900 D</t>
  </si>
  <si>
    <t>Arena 900 S</t>
  </si>
  <si>
    <t>l/h=</t>
  </si>
  <si>
    <t>Lägger till varning om lågt flöde., avrundar panellängd till verklig längd.</t>
  </si>
  <si>
    <t>Griestu apsildes paneļi ARENA un CASA</t>
  </si>
  <si>
    <t>Objekta dati</t>
  </si>
  <si>
    <t>Piezīmes</t>
  </si>
  <si>
    <t>Pievienojuma tips</t>
  </si>
  <si>
    <t>P-pievienojums</t>
  </si>
  <si>
    <t>D-pievienojums</t>
  </si>
  <si>
    <t>S-pievienojums</t>
  </si>
  <si>
    <t>Nesamērīga garumu gadījumā sazinieties ar Lyngson</t>
  </si>
  <si>
    <t>Garums</t>
  </si>
  <si>
    <t>Augstums</t>
  </si>
  <si>
    <t>Platums</t>
  </si>
  <si>
    <t>Platība</t>
  </si>
  <si>
    <t>Paskaidrojums</t>
  </si>
  <si>
    <t>Telpas temperatūra</t>
  </si>
  <si>
    <t>Turpgaitas temperatūra</t>
  </si>
  <si>
    <t>Atpakaļgaitas temperatūra</t>
  </si>
  <si>
    <t>Temperatūras starpība</t>
  </si>
  <si>
    <t>Ievadiet telpas garumu</t>
  </si>
  <si>
    <t>Ievadiet telpas platumu</t>
  </si>
  <si>
    <t>Ievadiet telpas griestu augstumu</t>
  </si>
  <si>
    <t>Ievadiet vēlamo telpas temperatūru</t>
  </si>
  <si>
    <t>Ievadiet turpgaitas temperatūru</t>
  </si>
  <si>
    <t>Ievadiet atpakaļgaitas temperatūru</t>
  </si>
  <si>
    <t>Izvēlieties paneļu modeli</t>
  </si>
  <si>
    <t>Paneļu modelis</t>
  </si>
  <si>
    <t>Pievienojuma caurules Ø</t>
  </si>
  <si>
    <t>Svars uz vienu virkni</t>
  </si>
  <si>
    <t>Svars, ieskaitot ūdeni</t>
  </si>
  <si>
    <t>Jauda 1 tekošajam metram</t>
  </si>
  <si>
    <t>Ievadiet vēlamo garumu rindā/virknē.</t>
  </si>
  <si>
    <t>Norādiet rindu/virkņu skaitu.</t>
  </si>
  <si>
    <t>Zemākais ieteicamais plūsmas ātrums      l/s=</t>
  </si>
  <si>
    <t>Virkņu skaits</t>
  </si>
  <si>
    <t>Paneļu skaits virknē</t>
  </si>
  <si>
    <t>Efektīvais garums</t>
  </si>
  <si>
    <t>Montāžas garums</t>
  </si>
  <si>
    <t>Vēlamais būvniecības garums virknē</t>
  </si>
  <si>
    <t>Jauda uz vienu virkni</t>
  </si>
  <si>
    <t>Kopējā jauda</t>
  </si>
  <si>
    <t>Jauda uz 1 m2</t>
  </si>
  <si>
    <t>Plūsma virknē (l/s)</t>
  </si>
  <si>
    <t>Plūsma virknē (l/h)</t>
  </si>
  <si>
    <t>Paneļu skaits</t>
  </si>
  <si>
    <t>Montāžas komplektu skaits</t>
  </si>
  <si>
    <t>KOPĒJĀ JAUDA</t>
  </si>
  <si>
    <t>KOPĒJĀ PLŪSMA</t>
  </si>
  <si>
    <t>MAKSIMĀLAIS SPIEDIENA KRITUMS</t>
  </si>
  <si>
    <t>Skatiet katalogu</t>
  </si>
  <si>
    <t>KOPĒJĀ JAUDA/m2</t>
  </si>
  <si>
    <t>gb</t>
  </si>
  <si>
    <t xml:space="preserve">temperatūru, vai izvēlieties citu paneli. </t>
  </si>
  <si>
    <t>Aprēķinot tikai vienu paneli, faktiskais garums = vistuvākais</t>
  </si>
  <si>
    <t>standarta garumam, virknes skaits "1".</t>
  </si>
  <si>
    <t>Kopā paneļi</t>
  </si>
  <si>
    <t>Kopā montāžas komplekti</t>
  </si>
  <si>
    <t>Lai samazinātu plūsmu, mainiet pievienojuma tipu,</t>
  </si>
  <si>
    <t>Virkne tiek optimizēta ar 6m paneļu garumu.</t>
  </si>
  <si>
    <t>Versija. 2019-02-15</t>
  </si>
  <si>
    <t>*LYNGSON patur tiesības uz jebkādām kļūdām/nepareiziem datiem.</t>
  </si>
  <si>
    <t xml:space="preserve">info@lyngson.lv                                                                 www.lyngson.lv                                                               Tel: +371 28663443   </t>
  </si>
  <si>
    <r>
      <rPr>
        <b/>
        <sz val="16"/>
        <rFont val="Arial"/>
        <family val="2"/>
      </rPr>
      <t>Lyngson  SIA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            Akači, Grēnes,Olaines pag., Latvija LV-2127</t>
    </r>
  </si>
  <si>
    <t xml:space="preserve">*Lai uzturētu nepārtrauktu produkta attīstību, LYNGSON patur tiesības mainīt tehniskās specifikācijas, bez iepriekšēja brīdinājuma.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</si>
</sst>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yyyy/mm/dd;@"/>
    <numFmt numFmtId="167" formatCode="0.0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/>
    <xf numFmtId="1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4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vertical="center"/>
      <protection hidden="1"/>
    </xf>
    <xf numFmtId="2" fontId="0" fillId="4" borderId="1" xfId="0" applyNumberFormat="1" applyFill="1" applyBorder="1" applyAlignment="1" applyProtection="1">
      <alignment vertical="center"/>
      <protection hidden="1"/>
    </xf>
    <xf numFmtId="164" fontId="0" fillId="4" borderId="1" xfId="0" applyNumberFormat="1" applyFill="1" applyBorder="1" applyAlignment="1" applyProtection="1">
      <alignment vertical="center"/>
      <protection hidden="1"/>
    </xf>
    <xf numFmtId="14" fontId="0" fillId="0" borderId="13" xfId="0" applyNumberFormat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5" borderId="10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166" fontId="5" fillId="0" borderId="14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67" fontId="0" fillId="4" borderId="1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1" fillId="2" borderId="22" xfId="0" applyNumberFormat="1" applyFont="1" applyFill="1" applyBorder="1" applyAlignment="1">
      <alignment vertical="center"/>
    </xf>
    <xf numFmtId="1" fontId="1" fillId="2" borderId="22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22" xfId="0" applyFill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7" fontId="0" fillId="0" borderId="0" xfId="0" applyNumberFormat="1"/>
    <xf numFmtId="0" fontId="0" fillId="0" borderId="0" xfId="0" applyAlignment="1">
      <alignment vertical="center" wrapText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212913</xdr:colOff>
      <xdr:row>11</xdr:row>
      <xdr:rowOff>100855</xdr:rowOff>
    </xdr:from>
    <xdr:to>
      <xdr:col>15</xdr:col>
      <xdr:colOff>262568</xdr:colOff>
      <xdr:row>14</xdr:row>
      <xdr:rowOff>1122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B6AB34D-84AD-4B75-AD14-311BC8A24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472" y="2678208"/>
          <a:ext cx="3056193" cy="572620"/>
        </a:xfrm>
        <a:prstGeom prst="rect">
          <a:avLst/>
        </a:prstGeom>
      </xdr:spPr>
    </xdr:pic>
    <xdr:clientData/>
  </xdr:twoCellAnchor>
  <xdr:twoCellAnchor editAs="oneCell">
    <xdr:from>
      <xdr:col>10</xdr:col>
      <xdr:colOff>235322</xdr:colOff>
      <xdr:row>15</xdr:row>
      <xdr:rowOff>44824</xdr:rowOff>
    </xdr:from>
    <xdr:to>
      <xdr:col>15</xdr:col>
      <xdr:colOff>340981</xdr:colOff>
      <xdr:row>19</xdr:row>
      <xdr:rowOff>33620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F11BCEA-B24B-4169-B265-F6F6664E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2881" y="3518648"/>
          <a:ext cx="3131247" cy="875741"/>
        </a:xfrm>
        <a:prstGeom prst="rect">
          <a:avLst/>
        </a:prstGeom>
      </xdr:spPr>
    </xdr:pic>
    <xdr:clientData/>
  </xdr:twoCellAnchor>
  <xdr:twoCellAnchor editAs="oneCell">
    <xdr:from>
      <xdr:col>10</xdr:col>
      <xdr:colOff>201706</xdr:colOff>
      <xdr:row>20</xdr:row>
      <xdr:rowOff>134471</xdr:rowOff>
    </xdr:from>
    <xdr:to>
      <xdr:col>15</xdr:col>
      <xdr:colOff>262768</xdr:colOff>
      <xdr:row>24</xdr:row>
      <xdr:rowOff>42358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594943D8-1DBB-427B-B504-2834B9EAD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265" y="4728883"/>
          <a:ext cx="3079030" cy="806262"/>
        </a:xfrm>
        <a:prstGeom prst="rect">
          <a:avLst/>
        </a:prstGeom>
      </xdr:spPr>
    </xdr:pic>
    <xdr:clientData/>
  </xdr:twoCellAnchor>
  <xdr:twoCellAnchor>
    <xdr:from>
      <xdr:col>0</xdr:col>
      <xdr:colOff>194235</xdr:colOff>
      <xdr:row>0</xdr:row>
      <xdr:rowOff>171822</xdr:rowOff>
    </xdr:from>
    <xdr:to>
      <xdr:col>5</xdr:col>
      <xdr:colOff>52294</xdr:colOff>
      <xdr:row>3</xdr:row>
      <xdr:rowOff>51158</xdr:rowOff>
    </xdr:to>
    <xdr:pic>
      <xdr:nvPicPr>
        <xdr:cNvPr id="9" name="Picture 8" descr="Lyngson logo grey">
          <a:extLst>
            <a:ext uri="{FF2B5EF4-FFF2-40B4-BE49-F238E27FC236}">
              <a16:creationId xmlns:a16="http://schemas.microsoft.com/office/drawing/2014/main" id="{E4C1248B-49D7-40A6-B807-C10FD7D0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35" y="171822"/>
          <a:ext cx="3780118" cy="574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="85" zoomScaleNormal="85" workbookViewId="0">
      <selection activeCell="G40" sqref="G40"/>
    </sheetView>
  </sheetViews>
  <sheetFormatPr defaultRowHeight="14.5" x14ac:dyDescent="0.35"/>
  <cols>
    <col min="1" max="1" width="31.1796875" customWidth="1"/>
    <col min="2" max="2" width="2.1796875" customWidth="1"/>
    <col min="3" max="3" width="12.81640625" customWidth="1"/>
    <col min="4" max="4" width="6.54296875" customWidth="1"/>
    <col min="5" max="5" width="3.453125" customWidth="1"/>
    <col min="6" max="6" width="11" customWidth="1"/>
    <col min="7" max="7" width="7.81640625" customWidth="1"/>
    <col min="8" max="8" width="4.54296875" customWidth="1"/>
    <col min="9" max="9" width="10" customWidth="1"/>
    <col min="10" max="10" width="9.7265625" customWidth="1"/>
    <col min="17" max="17" width="2.453125" customWidth="1"/>
  </cols>
  <sheetData>
    <row r="1" spans="1:17" ht="18" customHeight="1" x14ac:dyDescent="0.35">
      <c r="A1" s="30"/>
      <c r="B1" s="31"/>
      <c r="C1" s="31"/>
      <c r="D1" s="31"/>
      <c r="E1" s="31"/>
      <c r="F1" s="31"/>
      <c r="G1" s="31"/>
      <c r="H1" s="31"/>
      <c r="I1" s="36" t="s">
        <v>118</v>
      </c>
      <c r="J1" s="37"/>
      <c r="K1" s="1"/>
      <c r="L1" s="1"/>
      <c r="M1" s="1"/>
    </row>
    <row r="2" spans="1:17" ht="18" customHeight="1" x14ac:dyDescent="0.35">
      <c r="A2" s="32"/>
      <c r="B2" s="1"/>
      <c r="C2" s="1"/>
      <c r="D2" s="1"/>
      <c r="E2" s="1"/>
      <c r="F2" s="1"/>
      <c r="G2" s="1"/>
      <c r="H2" s="1"/>
      <c r="I2" s="38"/>
      <c r="J2" s="39"/>
      <c r="K2" s="1"/>
      <c r="L2" s="1"/>
      <c r="M2" s="1"/>
    </row>
    <row r="3" spans="1:17" ht="18" customHeight="1" x14ac:dyDescent="0.35">
      <c r="A3" s="32"/>
      <c r="B3" s="1"/>
      <c r="C3" s="1"/>
      <c r="D3" s="1"/>
      <c r="E3" s="1"/>
      <c r="F3" s="1"/>
      <c r="G3" s="1"/>
      <c r="H3" s="1"/>
      <c r="I3" s="38"/>
      <c r="J3" s="40"/>
      <c r="K3" s="1"/>
      <c r="L3" s="1"/>
      <c r="M3" s="1"/>
    </row>
    <row r="4" spans="1:17" ht="18" customHeight="1" x14ac:dyDescent="0.35">
      <c r="A4" s="32"/>
      <c r="B4" s="1"/>
      <c r="C4" s="1"/>
      <c r="D4" s="1"/>
      <c r="E4" s="1"/>
      <c r="F4" s="1"/>
      <c r="G4" s="1"/>
      <c r="H4" s="1"/>
      <c r="I4" s="1"/>
      <c r="J4" s="41"/>
      <c r="K4" s="1"/>
      <c r="L4" s="1"/>
      <c r="M4" s="1"/>
    </row>
    <row r="5" spans="1:17" ht="18" customHeight="1" x14ac:dyDescent="0.35">
      <c r="A5" s="32"/>
      <c r="B5" s="1"/>
      <c r="C5" s="1"/>
      <c r="D5" s="1"/>
      <c r="E5" s="1"/>
      <c r="F5" s="1"/>
      <c r="G5" s="1"/>
      <c r="H5" s="1"/>
      <c r="I5" s="1"/>
      <c r="J5" s="41"/>
      <c r="K5" s="1"/>
      <c r="L5" s="1"/>
      <c r="M5" s="1"/>
    </row>
    <row r="6" spans="1:17" ht="27" customHeight="1" thickBot="1" x14ac:dyDescent="0.4">
      <c r="A6" s="61" t="s">
        <v>61</v>
      </c>
      <c r="B6" s="62"/>
      <c r="C6" s="62"/>
      <c r="D6" s="62"/>
      <c r="E6" s="62"/>
      <c r="F6" s="62"/>
      <c r="G6" s="62"/>
      <c r="H6" s="62"/>
      <c r="I6" s="62"/>
      <c r="J6" s="63"/>
      <c r="K6" s="33"/>
      <c r="L6" s="34"/>
      <c r="M6" s="34"/>
      <c r="N6" s="25"/>
      <c r="O6" s="25"/>
      <c r="P6" s="25"/>
      <c r="Q6" s="25"/>
    </row>
    <row r="7" spans="1:17" ht="1.5" customHeight="1" thickBot="1" x14ac:dyDescent="0.4">
      <c r="A7" s="32"/>
      <c r="B7" s="1"/>
      <c r="C7" s="1"/>
      <c r="D7" s="1"/>
      <c r="E7" s="1"/>
      <c r="F7" s="1"/>
      <c r="G7" s="1"/>
      <c r="H7" s="1"/>
      <c r="I7" s="1"/>
      <c r="J7" s="41"/>
      <c r="K7" s="1"/>
      <c r="L7" s="1"/>
      <c r="M7" s="1"/>
    </row>
    <row r="8" spans="1:17" ht="41.25" customHeight="1" thickBot="1" x14ac:dyDescent="0.4">
      <c r="A8" s="47" t="s">
        <v>62</v>
      </c>
      <c r="B8" s="48"/>
      <c r="C8" s="64"/>
      <c r="D8" s="65"/>
      <c r="E8" s="47"/>
      <c r="F8" s="68" t="s">
        <v>73</v>
      </c>
      <c r="G8" s="68"/>
      <c r="H8" s="49"/>
      <c r="I8" s="69"/>
      <c r="J8" s="69"/>
      <c r="K8" s="58" t="s">
        <v>63</v>
      </c>
      <c r="L8" s="59"/>
      <c r="M8" s="59"/>
      <c r="N8" s="59"/>
      <c r="O8" s="59"/>
      <c r="P8" s="59"/>
      <c r="Q8" s="60"/>
    </row>
    <row r="9" spans="1:17" ht="9" customHeight="1" x14ac:dyDescent="0.35">
      <c r="A9" s="32"/>
      <c r="B9" s="3"/>
      <c r="C9" s="2"/>
      <c r="D9" s="3"/>
      <c r="E9" s="2"/>
      <c r="F9" s="1"/>
      <c r="G9" s="1"/>
      <c r="H9" s="1"/>
      <c r="I9" s="1"/>
      <c r="J9" s="77"/>
      <c r="K9" s="30"/>
      <c r="L9" s="31"/>
      <c r="M9" s="31"/>
      <c r="N9" s="87"/>
      <c r="O9" s="87"/>
      <c r="P9" s="87"/>
      <c r="Q9" s="88"/>
    </row>
    <row r="10" spans="1:17" ht="18" customHeight="1" x14ac:dyDescent="0.35">
      <c r="A10" s="32" t="s">
        <v>69</v>
      </c>
      <c r="B10" s="3"/>
      <c r="C10" s="16">
        <v>50</v>
      </c>
      <c r="D10" s="3" t="s">
        <v>6</v>
      </c>
      <c r="E10" s="43" t="s">
        <v>33</v>
      </c>
      <c r="F10" s="1" t="s">
        <v>78</v>
      </c>
      <c r="G10" s="1"/>
      <c r="H10" s="1"/>
      <c r="I10" s="1"/>
      <c r="J10" s="77"/>
      <c r="K10" s="32"/>
      <c r="L10" s="77"/>
      <c r="M10" s="77"/>
      <c r="N10" s="82"/>
      <c r="O10" s="82"/>
      <c r="P10" s="82"/>
      <c r="Q10" s="22"/>
    </row>
    <row r="11" spans="1:17" ht="18" customHeight="1" x14ac:dyDescent="0.35">
      <c r="A11" s="32" t="s">
        <v>71</v>
      </c>
      <c r="B11" s="3"/>
      <c r="C11" s="16">
        <v>20</v>
      </c>
      <c r="D11" s="3" t="s">
        <v>6</v>
      </c>
      <c r="E11" s="43" t="s">
        <v>34</v>
      </c>
      <c r="F11" s="1" t="s">
        <v>79</v>
      </c>
      <c r="G11" s="1"/>
      <c r="H11" s="1"/>
      <c r="I11" s="1"/>
      <c r="J11" s="77"/>
      <c r="K11" s="35" t="s">
        <v>42</v>
      </c>
      <c r="L11" s="89" t="s">
        <v>64</v>
      </c>
      <c r="M11" s="77"/>
      <c r="N11" s="82"/>
      <c r="O11" s="82"/>
      <c r="P11" s="82"/>
      <c r="Q11" s="22"/>
    </row>
    <row r="12" spans="1:17" ht="18" customHeight="1" x14ac:dyDescent="0.35">
      <c r="A12" s="32" t="s">
        <v>70</v>
      </c>
      <c r="B12" s="3"/>
      <c r="C12" s="16">
        <v>5</v>
      </c>
      <c r="D12" s="3" t="s">
        <v>6</v>
      </c>
      <c r="E12" s="43" t="s">
        <v>35</v>
      </c>
      <c r="F12" s="1" t="s">
        <v>80</v>
      </c>
      <c r="G12" s="1"/>
      <c r="H12" s="1"/>
      <c r="I12" s="1"/>
      <c r="J12" s="77"/>
      <c r="K12" s="32"/>
      <c r="L12" s="77"/>
      <c r="M12" s="77"/>
      <c r="N12" s="82"/>
      <c r="O12" s="82"/>
      <c r="P12" s="82"/>
      <c r="Q12" s="22"/>
    </row>
    <row r="13" spans="1:17" ht="18" customHeight="1" x14ac:dyDescent="0.35">
      <c r="A13" s="32" t="s">
        <v>72</v>
      </c>
      <c r="B13" s="3"/>
      <c r="C13" s="13">
        <f>C10*C11</f>
        <v>1000</v>
      </c>
      <c r="D13" s="3" t="s">
        <v>7</v>
      </c>
      <c r="E13" s="43"/>
      <c r="F13" s="1"/>
      <c r="G13" s="1"/>
      <c r="H13" s="1"/>
      <c r="I13" s="1"/>
      <c r="J13" s="77"/>
      <c r="K13" s="32"/>
      <c r="L13" s="77"/>
      <c r="M13" s="77"/>
      <c r="N13" s="82"/>
      <c r="O13" s="82"/>
      <c r="P13" s="82"/>
      <c r="Q13" s="22"/>
    </row>
    <row r="14" spans="1:17" ht="18" customHeight="1" x14ac:dyDescent="0.35">
      <c r="A14" s="32"/>
      <c r="B14" s="3"/>
      <c r="C14" s="2"/>
      <c r="D14" s="3"/>
      <c r="E14" s="43"/>
      <c r="F14" s="1"/>
      <c r="G14" s="1"/>
      <c r="H14" s="1"/>
      <c r="I14" s="1"/>
      <c r="J14" s="77"/>
      <c r="K14" s="32"/>
      <c r="L14" s="77"/>
      <c r="M14" s="77"/>
      <c r="N14" s="82"/>
      <c r="O14" s="82"/>
      <c r="P14" s="82"/>
      <c r="Q14" s="22"/>
    </row>
    <row r="15" spans="1:17" ht="18" customHeight="1" x14ac:dyDescent="0.35">
      <c r="A15" s="32" t="s">
        <v>74</v>
      </c>
      <c r="B15" s="3"/>
      <c r="C15" s="16">
        <v>20</v>
      </c>
      <c r="D15" s="3" t="s">
        <v>8</v>
      </c>
      <c r="E15" s="43" t="s">
        <v>36</v>
      </c>
      <c r="F15" s="1" t="s">
        <v>81</v>
      </c>
      <c r="G15" s="1"/>
      <c r="H15" s="1"/>
      <c r="I15" s="1"/>
      <c r="J15" s="77"/>
      <c r="K15" s="32"/>
      <c r="L15" s="77" t="s">
        <v>65</v>
      </c>
      <c r="M15" s="77"/>
      <c r="N15" s="82"/>
      <c r="O15" s="82"/>
      <c r="P15" s="82"/>
      <c r="Q15" s="22"/>
    </row>
    <row r="16" spans="1:17" ht="18" customHeight="1" x14ac:dyDescent="0.35">
      <c r="A16" s="32" t="s">
        <v>75</v>
      </c>
      <c r="B16" s="3"/>
      <c r="C16" s="16">
        <v>55</v>
      </c>
      <c r="D16" s="3" t="s">
        <v>8</v>
      </c>
      <c r="E16" s="43" t="s">
        <v>37</v>
      </c>
      <c r="F16" s="1" t="s">
        <v>82</v>
      </c>
      <c r="G16" s="1"/>
      <c r="H16" s="1"/>
      <c r="I16" s="1"/>
      <c r="J16" s="77"/>
      <c r="K16" s="32"/>
      <c r="L16" s="77"/>
      <c r="M16" s="77"/>
      <c r="N16" s="82"/>
      <c r="O16" s="82"/>
      <c r="P16" s="82"/>
      <c r="Q16" s="22"/>
    </row>
    <row r="17" spans="1:24" ht="18" customHeight="1" x14ac:dyDescent="0.35">
      <c r="A17" s="32" t="s">
        <v>76</v>
      </c>
      <c r="B17" s="3"/>
      <c r="C17" s="16">
        <v>45</v>
      </c>
      <c r="D17" s="3" t="s">
        <v>8</v>
      </c>
      <c r="E17" s="43" t="s">
        <v>38</v>
      </c>
      <c r="F17" s="1" t="s">
        <v>83</v>
      </c>
      <c r="G17" s="1"/>
      <c r="H17" s="1"/>
      <c r="I17" s="1"/>
      <c r="J17" s="77"/>
      <c r="K17" s="32"/>
      <c r="L17" s="77"/>
      <c r="M17" s="77"/>
      <c r="N17" s="82"/>
      <c r="O17" s="82"/>
      <c r="P17" s="82"/>
      <c r="Q17" s="22"/>
      <c r="X17" s="10"/>
    </row>
    <row r="18" spans="1:24" ht="18" customHeight="1" x14ac:dyDescent="0.35">
      <c r="A18" s="32" t="s">
        <v>77</v>
      </c>
      <c r="B18" s="3"/>
      <c r="C18" s="13">
        <f>((C16+C17)/2)-C15</f>
        <v>30</v>
      </c>
      <c r="D18" s="3" t="s">
        <v>8</v>
      </c>
      <c r="E18" s="43"/>
      <c r="F18" s="1"/>
      <c r="G18" s="1"/>
      <c r="H18" s="1"/>
      <c r="I18" s="1"/>
      <c r="J18" s="77"/>
      <c r="K18" s="32"/>
      <c r="L18" s="77"/>
      <c r="M18" s="77"/>
      <c r="N18" s="82"/>
      <c r="O18" s="82"/>
      <c r="P18" s="82"/>
      <c r="Q18" s="22"/>
    </row>
    <row r="19" spans="1:24" ht="18" customHeight="1" x14ac:dyDescent="0.35">
      <c r="A19" s="32"/>
      <c r="B19" s="3"/>
      <c r="C19" s="2"/>
      <c r="D19" s="3"/>
      <c r="E19" s="43"/>
      <c r="F19" s="1"/>
      <c r="G19" s="1"/>
      <c r="H19" s="1"/>
      <c r="I19" s="1"/>
      <c r="J19" s="77"/>
      <c r="K19" s="32"/>
      <c r="L19" s="77"/>
      <c r="M19" s="77"/>
      <c r="N19" s="82"/>
      <c r="O19" s="82"/>
      <c r="P19" s="82"/>
      <c r="Q19" s="22"/>
    </row>
    <row r="20" spans="1:24" ht="18" customHeight="1" x14ac:dyDescent="0.35">
      <c r="A20" s="32" t="s">
        <v>85</v>
      </c>
      <c r="B20" s="3"/>
      <c r="C20" s="66" t="s">
        <v>46</v>
      </c>
      <c r="D20" s="67"/>
      <c r="E20" s="43" t="s">
        <v>39</v>
      </c>
      <c r="F20" t="s">
        <v>84</v>
      </c>
      <c r="H20" s="1"/>
      <c r="J20" s="82"/>
      <c r="K20" s="32"/>
      <c r="L20" s="77" t="s">
        <v>66</v>
      </c>
      <c r="M20" s="77"/>
      <c r="N20" s="82"/>
      <c r="O20" s="82"/>
      <c r="P20" s="82"/>
      <c r="Q20" s="22"/>
    </row>
    <row r="21" spans="1:24" ht="18" customHeight="1" x14ac:dyDescent="0.35">
      <c r="A21" s="32"/>
      <c r="B21" s="3"/>
      <c r="C21" s="66"/>
      <c r="D21" s="67"/>
      <c r="E21" s="43"/>
      <c r="H21" s="1"/>
      <c r="I21" s="70"/>
      <c r="J21" s="83"/>
      <c r="K21" s="32"/>
      <c r="L21" s="77"/>
      <c r="M21" s="77"/>
      <c r="N21" s="82"/>
      <c r="O21" s="82"/>
      <c r="P21" s="82"/>
      <c r="Q21" s="22"/>
    </row>
    <row r="22" spans="1:24" ht="18" customHeight="1" x14ac:dyDescent="0.35">
      <c r="A22" s="32" t="s">
        <v>71</v>
      </c>
      <c r="B22" s="3"/>
      <c r="C22" s="17">
        <f>VLOOKUP(C$20,Data!$A$3:$B$15,2,FALSE)</f>
        <v>400</v>
      </c>
      <c r="D22" s="3" t="s">
        <v>9</v>
      </c>
      <c r="E22" s="43"/>
      <c r="F22" s="1"/>
      <c r="G22" s="1"/>
      <c r="H22" s="1"/>
      <c r="I22" s="1"/>
      <c r="J22" s="77"/>
      <c r="K22" s="32"/>
      <c r="L22" s="77"/>
      <c r="M22" s="77"/>
      <c r="N22" s="82"/>
      <c r="O22" s="82"/>
      <c r="P22" s="82"/>
      <c r="Q22" s="22"/>
    </row>
    <row r="23" spans="1:24" ht="18" customHeight="1" x14ac:dyDescent="0.35">
      <c r="A23" s="32" t="s">
        <v>86</v>
      </c>
      <c r="B23" s="3"/>
      <c r="C23" s="17">
        <f>VLOOKUP(C$20,Data!$A$3:$C$15,3,FALSE)</f>
        <v>12</v>
      </c>
      <c r="D23" s="3" t="s">
        <v>9</v>
      </c>
      <c r="E23" s="43"/>
      <c r="F23" s="1"/>
      <c r="G23" s="1"/>
      <c r="H23" s="1"/>
      <c r="I23" s="1"/>
      <c r="J23" s="77"/>
      <c r="K23" s="32"/>
      <c r="L23" s="77"/>
      <c r="M23" s="77"/>
      <c r="N23" s="82"/>
      <c r="O23" s="82"/>
      <c r="P23" s="82"/>
      <c r="Q23" s="22"/>
    </row>
    <row r="24" spans="1:24" ht="18" customHeight="1" x14ac:dyDescent="0.35">
      <c r="A24" s="32" t="s">
        <v>87</v>
      </c>
      <c r="B24" s="3"/>
      <c r="C24" s="17">
        <f>(VLOOKUP(C20,Data!A3:M15,10,FALSE))*C31</f>
        <v>0</v>
      </c>
      <c r="D24" s="3" t="s">
        <v>10</v>
      </c>
      <c r="E24" s="43"/>
      <c r="F24" s="1"/>
      <c r="G24" s="1"/>
      <c r="H24" s="1"/>
      <c r="I24" s="1"/>
      <c r="J24" s="77"/>
      <c r="K24" s="32"/>
      <c r="L24" s="77"/>
      <c r="M24" s="77"/>
      <c r="N24" s="82"/>
      <c r="O24" s="82"/>
      <c r="P24" s="82"/>
      <c r="Q24" s="22"/>
    </row>
    <row r="25" spans="1:24" ht="18" customHeight="1" x14ac:dyDescent="0.35">
      <c r="A25" s="32" t="s">
        <v>88</v>
      </c>
      <c r="B25" s="3"/>
      <c r="C25" s="20">
        <f>(VLOOKUP(C20,Data!A3:M15,11,FALSE))*C31</f>
        <v>0</v>
      </c>
      <c r="D25" s="3" t="s">
        <v>10</v>
      </c>
      <c r="E25" s="43"/>
      <c r="F25" s="1"/>
      <c r="G25" s="1"/>
      <c r="H25" s="1"/>
      <c r="I25" s="1"/>
      <c r="J25" s="77"/>
      <c r="K25" s="32"/>
      <c r="L25" s="77" t="s">
        <v>67</v>
      </c>
      <c r="M25" s="77"/>
      <c r="N25" s="82"/>
      <c r="O25" s="82"/>
      <c r="P25" s="82"/>
      <c r="Q25" s="22"/>
    </row>
    <row r="26" spans="1:24" ht="18" customHeight="1" x14ac:dyDescent="0.35">
      <c r="A26" s="32" t="s">
        <v>89</v>
      </c>
      <c r="B26" s="3"/>
      <c r="C26" s="18">
        <f>VLOOKUP(C$20,Data!$A$3:$I$15,9,FALSE)</f>
        <v>112.68100000000001</v>
      </c>
      <c r="D26" s="3" t="s">
        <v>11</v>
      </c>
      <c r="E26" s="43"/>
      <c r="F26" s="11"/>
      <c r="G26" s="1"/>
      <c r="H26" s="1"/>
      <c r="I26" s="11"/>
      <c r="J26" s="77"/>
      <c r="K26" s="32"/>
      <c r="L26" s="77"/>
      <c r="M26" s="77"/>
      <c r="N26" s="82"/>
      <c r="O26" s="82"/>
      <c r="P26" s="82"/>
      <c r="Q26" s="22"/>
    </row>
    <row r="27" spans="1:24" ht="18" customHeight="1" x14ac:dyDescent="0.35">
      <c r="A27" s="32"/>
      <c r="B27" s="3"/>
      <c r="C27" s="2"/>
      <c r="D27" s="3"/>
      <c r="E27" s="43"/>
      <c r="F27" s="1"/>
      <c r="G27" s="1"/>
      <c r="H27" s="1"/>
      <c r="I27" s="1"/>
      <c r="J27" s="77"/>
      <c r="K27" s="32"/>
      <c r="L27" s="77"/>
      <c r="M27" s="77"/>
      <c r="N27" s="82"/>
      <c r="O27" s="82"/>
      <c r="P27" s="82"/>
      <c r="Q27" s="22"/>
    </row>
    <row r="28" spans="1:24" ht="18" customHeight="1" x14ac:dyDescent="0.35">
      <c r="A28" s="32" t="s">
        <v>93</v>
      </c>
      <c r="B28" s="3"/>
      <c r="C28" s="16">
        <v>1</v>
      </c>
      <c r="D28" s="3" t="s">
        <v>110</v>
      </c>
      <c r="E28" s="43">
        <v>8</v>
      </c>
      <c r="F28" s="1" t="s">
        <v>91</v>
      </c>
      <c r="G28" s="1"/>
      <c r="H28" s="1"/>
      <c r="I28" s="1"/>
      <c r="J28" s="77"/>
      <c r="K28" s="35"/>
      <c r="L28" s="77"/>
      <c r="M28" s="77"/>
      <c r="N28" s="82"/>
      <c r="O28" s="82"/>
      <c r="P28" s="82"/>
      <c r="Q28" s="22"/>
    </row>
    <row r="29" spans="1:24" ht="18" customHeight="1" x14ac:dyDescent="0.35">
      <c r="A29" s="32" t="s">
        <v>94</v>
      </c>
      <c r="B29" s="3"/>
      <c r="C29" s="17">
        <f>ROUNDUP(C$32/6,0)</f>
        <v>0</v>
      </c>
      <c r="D29" s="3" t="s">
        <v>110</v>
      </c>
      <c r="E29" s="43"/>
      <c r="F29" s="1" t="s">
        <v>117</v>
      </c>
      <c r="G29" s="1"/>
      <c r="H29" s="1"/>
      <c r="I29" s="1"/>
      <c r="J29" s="77"/>
      <c r="K29" s="32" t="s">
        <v>68</v>
      </c>
      <c r="L29" s="77"/>
      <c r="M29" s="77"/>
      <c r="N29" s="82"/>
      <c r="O29" s="82"/>
      <c r="P29" s="82"/>
      <c r="Q29" s="22"/>
    </row>
    <row r="30" spans="1:24" ht="18" customHeight="1" x14ac:dyDescent="0.35">
      <c r="A30" s="32" t="s">
        <v>95</v>
      </c>
      <c r="B30" s="3"/>
      <c r="C30" s="17">
        <f>VLOOKUP(C20,Data!A3:L15,12,FALSE)</f>
        <v>0</v>
      </c>
      <c r="D30" s="3" t="s">
        <v>6</v>
      </c>
      <c r="E30" s="43"/>
      <c r="F30" s="1"/>
      <c r="G30" s="1"/>
      <c r="H30" s="1"/>
      <c r="I30" s="1"/>
      <c r="J30" s="77"/>
      <c r="K30" s="32"/>
      <c r="L30" s="77"/>
      <c r="M30" s="77"/>
      <c r="N30" s="82"/>
      <c r="O30" s="82"/>
      <c r="P30" s="82"/>
      <c r="Q30" s="22"/>
    </row>
    <row r="31" spans="1:24" ht="18" customHeight="1" x14ac:dyDescent="0.35">
      <c r="A31" s="32" t="s">
        <v>96</v>
      </c>
      <c r="B31" s="3"/>
      <c r="C31" s="17">
        <f>VLOOKUP(C20,Data!A3:M15,13,FALSE)</f>
        <v>0</v>
      </c>
      <c r="D31" s="3" t="s">
        <v>6</v>
      </c>
      <c r="E31" s="43"/>
      <c r="G31" s="1"/>
      <c r="H31" s="1"/>
      <c r="I31" s="1"/>
      <c r="J31" s="77"/>
      <c r="K31" s="32" t="s">
        <v>112</v>
      </c>
      <c r="L31" s="77"/>
      <c r="M31" s="77"/>
      <c r="N31" s="82"/>
      <c r="O31" s="82"/>
      <c r="P31" s="82"/>
      <c r="Q31" s="22"/>
    </row>
    <row r="32" spans="1:24" ht="18" customHeight="1" x14ac:dyDescent="0.35">
      <c r="A32" s="32" t="s">
        <v>97</v>
      </c>
      <c r="B32" s="3"/>
      <c r="C32" s="16">
        <v>0</v>
      </c>
      <c r="D32" s="3" t="s">
        <v>6</v>
      </c>
      <c r="E32" s="43">
        <v>9</v>
      </c>
      <c r="F32" s="1" t="s">
        <v>90</v>
      </c>
      <c r="G32" s="1"/>
      <c r="H32" s="1"/>
      <c r="I32" s="1"/>
      <c r="J32" s="77"/>
      <c r="K32" s="32" t="s">
        <v>113</v>
      </c>
      <c r="L32" s="77"/>
      <c r="M32" s="77"/>
      <c r="N32" s="82"/>
      <c r="O32" s="82"/>
      <c r="P32" s="82"/>
      <c r="Q32" s="22"/>
    </row>
    <row r="33" spans="1:17" ht="18" customHeight="1" x14ac:dyDescent="0.35">
      <c r="A33" s="32" t="s">
        <v>98</v>
      </c>
      <c r="B33" s="3"/>
      <c r="C33" s="18">
        <f>C26*C30</f>
        <v>0</v>
      </c>
      <c r="D33" s="3" t="s">
        <v>11</v>
      </c>
      <c r="E33" s="2"/>
      <c r="F33" s="11"/>
      <c r="G33" s="1"/>
      <c r="H33" s="1"/>
      <c r="I33" s="11"/>
      <c r="J33" s="77"/>
      <c r="K33" s="32"/>
      <c r="L33" s="77"/>
      <c r="M33" s="77"/>
      <c r="N33" s="82"/>
      <c r="O33" s="82"/>
      <c r="P33" s="82"/>
      <c r="Q33" s="22"/>
    </row>
    <row r="34" spans="1:17" ht="18" customHeight="1" x14ac:dyDescent="0.35">
      <c r="A34" s="32" t="s">
        <v>99</v>
      </c>
      <c r="B34" s="3"/>
      <c r="C34" s="19">
        <f>(C33*C28)/1000</f>
        <v>0</v>
      </c>
      <c r="D34" s="3" t="s">
        <v>12</v>
      </c>
      <c r="E34" s="2"/>
      <c r="F34" s="12"/>
      <c r="G34" s="1"/>
      <c r="H34" s="1"/>
      <c r="I34" s="12"/>
      <c r="J34" s="77"/>
      <c r="K34" s="32"/>
      <c r="L34" s="77"/>
      <c r="M34" s="77"/>
      <c r="N34" s="82"/>
      <c r="O34" s="82"/>
      <c r="P34" s="82"/>
      <c r="Q34" s="22"/>
    </row>
    <row r="35" spans="1:17" ht="18" customHeight="1" x14ac:dyDescent="0.35">
      <c r="A35" s="32" t="s">
        <v>100</v>
      </c>
      <c r="B35" s="3"/>
      <c r="C35" s="20">
        <f>IF(C10="",0,(C33*C28)/C13)</f>
        <v>0</v>
      </c>
      <c r="D35" s="3" t="s">
        <v>13</v>
      </c>
      <c r="E35" s="2"/>
      <c r="F35" s="12"/>
      <c r="G35" s="1"/>
      <c r="H35" s="1"/>
      <c r="I35" s="12"/>
      <c r="J35" s="77"/>
      <c r="K35" s="32"/>
      <c r="L35" s="77"/>
      <c r="M35" s="77"/>
      <c r="N35" s="82"/>
      <c r="O35" s="82"/>
      <c r="P35" s="82"/>
      <c r="Q35" s="22"/>
    </row>
    <row r="36" spans="1:17" ht="18" customHeight="1" x14ac:dyDescent="0.35">
      <c r="A36" s="32" t="s">
        <v>101</v>
      </c>
      <c r="B36" s="3"/>
      <c r="C36" s="56">
        <f>(C$33/(1.164*(C$16-C$17)))/3600</f>
        <v>0</v>
      </c>
      <c r="D36" s="3" t="s">
        <v>14</v>
      </c>
      <c r="E36" s="2"/>
      <c r="F36" s="50" t="s">
        <v>92</v>
      </c>
      <c r="G36" s="1"/>
      <c r="H36" s="1"/>
      <c r="I36" s="54"/>
      <c r="J36" s="84">
        <f>VLOOKUP(C20,Data!A3:P15,16,FALSE)</f>
        <v>0.02</v>
      </c>
      <c r="K36" s="32" t="s">
        <v>116</v>
      </c>
      <c r="L36" s="77"/>
      <c r="M36" s="77"/>
      <c r="N36" s="82"/>
      <c r="O36" s="82"/>
      <c r="P36" s="82"/>
      <c r="Q36" s="22"/>
    </row>
    <row r="37" spans="1:17" ht="18" customHeight="1" x14ac:dyDescent="0.35">
      <c r="A37" s="32" t="s">
        <v>102</v>
      </c>
      <c r="B37" s="3"/>
      <c r="C37" s="18">
        <f>C$36*3600</f>
        <v>0</v>
      </c>
      <c r="D37" s="3" t="s">
        <v>15</v>
      </c>
      <c r="E37" s="2"/>
      <c r="F37" s="11"/>
      <c r="G37" s="1"/>
      <c r="H37" s="1"/>
      <c r="I37" s="55" t="s">
        <v>59</v>
      </c>
      <c r="J37" s="85">
        <f>J36*3600</f>
        <v>72</v>
      </c>
      <c r="K37" s="32" t="s">
        <v>111</v>
      </c>
      <c r="L37" s="77"/>
      <c r="M37" s="77"/>
      <c r="N37" s="82"/>
      <c r="O37" s="82"/>
      <c r="P37" s="82"/>
      <c r="Q37" s="22"/>
    </row>
    <row r="38" spans="1:17" ht="18" hidden="1" customHeight="1" x14ac:dyDescent="0.35">
      <c r="A38" s="42" t="s">
        <v>5</v>
      </c>
      <c r="B38" s="3"/>
      <c r="C38" s="14"/>
      <c r="D38" s="3" t="s">
        <v>16</v>
      </c>
      <c r="E38" s="2"/>
      <c r="F38" s="12"/>
      <c r="G38" s="1"/>
      <c r="H38" s="1"/>
      <c r="I38" s="12"/>
      <c r="J38" s="77"/>
      <c r="K38" s="32"/>
      <c r="L38" s="77"/>
      <c r="M38" s="77"/>
      <c r="N38" s="82"/>
      <c r="O38" s="82"/>
      <c r="P38" s="82"/>
      <c r="Q38" s="22"/>
    </row>
    <row r="39" spans="1:17" ht="18" customHeight="1" x14ac:dyDescent="0.35">
      <c r="A39" s="32"/>
      <c r="B39" s="3"/>
      <c r="C39" s="2"/>
      <c r="D39" s="3"/>
      <c r="E39" s="2"/>
      <c r="F39" s="1"/>
      <c r="G39" s="1"/>
      <c r="H39" s="1"/>
      <c r="I39" s="1"/>
      <c r="J39" s="77"/>
      <c r="K39" s="32"/>
      <c r="L39" s="77"/>
      <c r="M39" s="77"/>
      <c r="N39" s="82"/>
      <c r="O39" s="82"/>
      <c r="P39" s="82"/>
      <c r="Q39" s="22"/>
    </row>
    <row r="40" spans="1:17" ht="18" customHeight="1" x14ac:dyDescent="0.35">
      <c r="A40" s="32" t="s">
        <v>103</v>
      </c>
      <c r="B40" s="3"/>
      <c r="C40" s="13">
        <f>C28*C29</f>
        <v>0</v>
      </c>
      <c r="D40" s="3" t="s">
        <v>110</v>
      </c>
      <c r="E40" s="2"/>
      <c r="F40" s="1"/>
      <c r="G40" s="1"/>
      <c r="H40" s="1"/>
      <c r="I40" s="1"/>
      <c r="J40" s="77"/>
      <c r="K40" s="32"/>
      <c r="L40" s="77"/>
      <c r="M40" s="77"/>
      <c r="N40" s="82"/>
      <c r="O40" s="82"/>
      <c r="P40" s="82"/>
      <c r="Q40" s="22"/>
    </row>
    <row r="41" spans="1:17" ht="18" customHeight="1" x14ac:dyDescent="0.35">
      <c r="A41" s="46" t="s">
        <v>104</v>
      </c>
      <c r="B41" s="4"/>
      <c r="C41" s="15">
        <f>C40*6</f>
        <v>0</v>
      </c>
      <c r="D41" s="4" t="s">
        <v>110</v>
      </c>
      <c r="E41" s="44"/>
      <c r="F41" s="45"/>
      <c r="G41" s="45"/>
      <c r="H41" s="45"/>
      <c r="I41" s="45"/>
      <c r="J41" s="45"/>
      <c r="K41" s="32"/>
      <c r="L41" s="77"/>
      <c r="M41" s="77"/>
      <c r="N41" s="82"/>
      <c r="O41" s="82"/>
      <c r="P41" s="82"/>
      <c r="Q41" s="22"/>
    </row>
    <row r="42" spans="1:17" x14ac:dyDescent="0.35">
      <c r="A42" s="32"/>
      <c r="B42" s="1"/>
      <c r="C42" s="1"/>
      <c r="D42" s="1"/>
      <c r="E42" s="1"/>
      <c r="F42" s="1"/>
      <c r="G42" s="1"/>
      <c r="H42" s="1"/>
      <c r="I42" s="1"/>
      <c r="J42" s="77"/>
      <c r="K42" s="32"/>
      <c r="L42" s="77"/>
      <c r="M42" s="77"/>
      <c r="N42" s="82"/>
      <c r="O42" s="82"/>
      <c r="P42" s="82"/>
      <c r="Q42" s="22"/>
    </row>
    <row r="43" spans="1:17" ht="23.25" customHeight="1" x14ac:dyDescent="0.35">
      <c r="A43" s="76" t="s">
        <v>105</v>
      </c>
      <c r="B43" s="5"/>
      <c r="C43" s="73">
        <f>IF((C36)&lt;(J36-0.0005),0,C34)</f>
        <v>0</v>
      </c>
      <c r="D43" s="76" t="s">
        <v>12</v>
      </c>
      <c r="E43" s="1"/>
      <c r="F43" s="78" t="s">
        <v>109</v>
      </c>
      <c r="G43" s="78"/>
      <c r="H43" s="78"/>
      <c r="I43" s="73">
        <f>C35+F35+I35</f>
        <v>0</v>
      </c>
      <c r="J43" s="86" t="s">
        <v>13</v>
      </c>
      <c r="K43" s="32"/>
      <c r="L43" s="77"/>
      <c r="M43" s="77"/>
      <c r="N43" s="82"/>
      <c r="O43" s="82"/>
      <c r="P43" s="82"/>
      <c r="Q43" s="22"/>
    </row>
    <row r="44" spans="1:17" ht="23.25" customHeight="1" x14ac:dyDescent="0.35">
      <c r="A44" s="76" t="s">
        <v>106</v>
      </c>
      <c r="B44" s="6"/>
      <c r="C44" s="74">
        <f>(C37*C28)</f>
        <v>0</v>
      </c>
      <c r="D44" s="76" t="s">
        <v>15</v>
      </c>
      <c r="E44" s="1"/>
      <c r="F44" s="79" t="s">
        <v>114</v>
      </c>
      <c r="G44" s="79"/>
      <c r="H44" s="79"/>
      <c r="I44" s="80">
        <f>C40+F40+I40</f>
        <v>0</v>
      </c>
      <c r="J44" s="47" t="s">
        <v>110</v>
      </c>
      <c r="K44" s="32"/>
      <c r="L44" s="77"/>
      <c r="M44" s="77"/>
      <c r="N44" s="82"/>
      <c r="O44" s="82"/>
      <c r="P44" s="82"/>
      <c r="Q44" s="22"/>
    </row>
    <row r="45" spans="1:17" ht="47" customHeight="1" x14ac:dyDescent="0.35">
      <c r="A45" s="81" t="s">
        <v>107</v>
      </c>
      <c r="B45" s="7"/>
      <c r="C45" s="75" t="s">
        <v>108</v>
      </c>
      <c r="D45" s="76"/>
      <c r="E45" s="1"/>
      <c r="F45" s="79" t="s">
        <v>115</v>
      </c>
      <c r="G45" s="79"/>
      <c r="H45" s="79"/>
      <c r="I45" s="80">
        <f>C41+F41+I41</f>
        <v>0</v>
      </c>
      <c r="J45" s="47" t="s">
        <v>110</v>
      </c>
      <c r="K45" s="32"/>
      <c r="L45" s="77"/>
      <c r="M45" s="77"/>
      <c r="N45" s="82"/>
      <c r="O45" s="82"/>
      <c r="P45" s="82"/>
      <c r="Q45" s="22"/>
    </row>
    <row r="46" spans="1:17" ht="15" thickBot="1" x14ac:dyDescent="0.4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3"/>
      <c r="L46" s="34"/>
      <c r="M46" s="34"/>
      <c r="N46" s="25"/>
      <c r="O46" s="25"/>
      <c r="P46" s="25"/>
      <c r="Q46" s="26"/>
    </row>
    <row r="47" spans="1:1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7" ht="50" customHeight="1" x14ac:dyDescent="0.35">
      <c r="A48" s="90" t="s">
        <v>120</v>
      </c>
      <c r="B48" s="90"/>
      <c r="C48" s="90"/>
      <c r="D48" s="92" t="s">
        <v>121</v>
      </c>
      <c r="E48" s="92"/>
      <c r="F48" s="92"/>
      <c r="G48" s="92"/>
      <c r="H48" s="92"/>
      <c r="I48" s="92"/>
      <c r="J48" s="92"/>
    </row>
    <row r="49" spans="1:8" ht="8" customHeight="1" x14ac:dyDescent="0.35">
      <c r="B49" s="95"/>
      <c r="C49" s="95"/>
      <c r="D49" s="90"/>
      <c r="E49" s="91"/>
      <c r="F49" s="96"/>
      <c r="G49" s="96"/>
      <c r="H49" s="94"/>
    </row>
    <row r="50" spans="1:8" x14ac:dyDescent="0.35">
      <c r="A50" s="97" t="s">
        <v>122</v>
      </c>
      <c r="B50" s="93"/>
      <c r="C50" s="93"/>
      <c r="D50" s="93"/>
      <c r="E50" s="93"/>
      <c r="F50" s="93"/>
      <c r="G50" s="94"/>
    </row>
    <row r="51" spans="1:8" x14ac:dyDescent="0.35">
      <c r="A51" s="98" t="s">
        <v>119</v>
      </c>
      <c r="B51" s="57"/>
      <c r="C51" s="93"/>
      <c r="D51" s="93"/>
      <c r="E51" s="93"/>
      <c r="F51" s="93"/>
    </row>
  </sheetData>
  <sheetProtection algorithmName="SHA-512" hashValue="sjwZYUDCZmxJKlqrKDJXcPbJ8EUf4R4RF7X+TnZBedyObvHy2C4/1sQ2L7KgV7Ekht6aKeY4JUk9aIgRwNG1hw==" saltValue="bx8vXdTHHKoMIIxXGl1p+g==" spinCount="100000" sheet="1" objects="1" scenarios="1"/>
  <dataConsolidate/>
  <mergeCells count="14">
    <mergeCell ref="D49:E49"/>
    <mergeCell ref="A48:C48"/>
    <mergeCell ref="D48:J48"/>
    <mergeCell ref="K8:Q8"/>
    <mergeCell ref="F44:H44"/>
    <mergeCell ref="F45:H45"/>
    <mergeCell ref="F43:H43"/>
    <mergeCell ref="A6:J6"/>
    <mergeCell ref="C8:D8"/>
    <mergeCell ref="C20:D20"/>
    <mergeCell ref="C21:D21"/>
    <mergeCell ref="F8:G8"/>
    <mergeCell ref="I8:J8"/>
    <mergeCell ref="I21:J21"/>
  </mergeCells>
  <conditionalFormatting sqref="C36">
    <cfRule type="cellIs" dxfId="1" priority="2" operator="lessThan">
      <formula>$J$36-0.0005</formula>
    </cfRule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C43">
    <cfRule type="cellIs" dxfId="0" priority="1" operator="equal">
      <formula>0</formula>
    </cfRule>
  </conditionalFormatting>
  <dataValidations count="2">
    <dataValidation type="list" showInputMessage="1" showErrorMessage="1" sqref="X17" xr:uid="{00000000-0002-0000-0000-000000000000}">
      <formula1>Panelmodell</formula1>
    </dataValidation>
    <dataValidation type="list" allowBlank="1" showInputMessage="1" showErrorMessage="1" error="Fel kopplingstyp" prompt="&quot;S&quot; finns inte för Casa 400 &amp; Arena 615" sqref="I21:J21" xr:uid="{00000000-0002-0000-0000-000001000000}">
      <formula1>Kopplingstyp1</formula1>
    </dataValidation>
  </dataValidations>
  <pageMargins left="0.70866141732283472" right="0.31496062992125984" top="0.15748031496062992" bottom="0.35433070866141736" header="0.11811023622047245" footer="0.11811023622047245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F1CEF1E-A067-4D7A-99FA-049F501E045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$J$36-0.0005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nvänd rullgardinsmenyn" prompt="Välj panel och kopplingstyp_x000a_" xr:uid="{2B4E9A26-AF39-4FCF-B2F9-9687B7E82340}">
          <x14:formula1>
            <xm:f>Data!$A$3:$A$15</xm:f>
          </x14:formula1>
          <xm:sqref>C20:D20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workbookViewId="0">
      <selection activeCell="L3" sqref="L3"/>
    </sheetView>
  </sheetViews>
  <sheetFormatPr defaultRowHeight="14.5" x14ac:dyDescent="0.35"/>
  <cols>
    <col min="1" max="1" width="11.26953125" customWidth="1"/>
    <col min="4" max="4" width="8.81640625" customWidth="1"/>
    <col min="7" max="7" width="17.54296875" customWidth="1"/>
    <col min="8" max="8" width="16.81640625" customWidth="1"/>
    <col min="10" max="10" width="13.7265625" customWidth="1"/>
    <col min="11" max="11" width="15.54296875" customWidth="1"/>
    <col min="12" max="12" width="11.1796875" customWidth="1"/>
    <col min="13" max="13" width="11.7265625" customWidth="1"/>
    <col min="14" max="16" width="10.7265625" customWidth="1"/>
    <col min="17" max="17" width="10.453125" bestFit="1" customWidth="1"/>
  </cols>
  <sheetData>
    <row r="1" spans="1:22" ht="15" thickBot="1" x14ac:dyDescent="0.4"/>
    <row r="2" spans="1:22" x14ac:dyDescent="0.35">
      <c r="A2" s="8" t="s">
        <v>18</v>
      </c>
      <c r="B2" s="8" t="s">
        <v>0</v>
      </c>
      <c r="C2" s="8" t="s">
        <v>19</v>
      </c>
      <c r="D2" s="72" t="s">
        <v>1</v>
      </c>
      <c r="E2" s="71"/>
      <c r="F2" s="71"/>
      <c r="G2" s="8" t="s">
        <v>23</v>
      </c>
      <c r="H2" s="8" t="s">
        <v>22</v>
      </c>
      <c r="I2" s="8" t="s">
        <v>24</v>
      </c>
      <c r="J2" s="8" t="s">
        <v>31</v>
      </c>
      <c r="K2" s="8" t="s">
        <v>32</v>
      </c>
      <c r="L2" s="8" t="s">
        <v>30</v>
      </c>
      <c r="M2" s="8" t="s">
        <v>3</v>
      </c>
      <c r="N2" s="8" t="s">
        <v>43</v>
      </c>
      <c r="O2" s="8" t="s">
        <v>44</v>
      </c>
      <c r="P2" s="8" t="s">
        <v>45</v>
      </c>
      <c r="Q2" s="27" t="s">
        <v>40</v>
      </c>
      <c r="R2" s="28"/>
      <c r="S2" s="28"/>
      <c r="T2" s="28"/>
      <c r="U2" s="28"/>
      <c r="V2" s="29"/>
    </row>
    <row r="3" spans="1:22" x14ac:dyDescent="0.35">
      <c r="A3" t="s">
        <v>46</v>
      </c>
      <c r="B3">
        <v>400</v>
      </c>
      <c r="C3">
        <v>12</v>
      </c>
      <c r="D3" t="s">
        <v>17</v>
      </c>
      <c r="G3" s="9">
        <f>4.0357*Blad1!C18-8.39</f>
        <v>112.68100000000001</v>
      </c>
      <c r="H3" s="9">
        <f>3.8*Blad1!C18</f>
        <v>114</v>
      </c>
      <c r="I3" s="9">
        <f>IF(Blad1!C18&lt;25,H3,G3)</f>
        <v>112.68100000000001</v>
      </c>
      <c r="J3">
        <v>2.6</v>
      </c>
      <c r="K3">
        <v>2.76</v>
      </c>
      <c r="L3">
        <f>M3-(Blad1!$C$29*0.1)</f>
        <v>0</v>
      </c>
      <c r="M3">
        <f>ROUND(Blad1!$C$32,1)</f>
        <v>0</v>
      </c>
      <c r="N3">
        <v>3.5819999999999999</v>
      </c>
      <c r="O3">
        <v>1.0109999999999999</v>
      </c>
      <c r="P3">
        <v>0.02</v>
      </c>
      <c r="Q3" s="21">
        <v>42132</v>
      </c>
      <c r="R3" t="s">
        <v>41</v>
      </c>
      <c r="V3" s="22"/>
    </row>
    <row r="4" spans="1:22" x14ac:dyDescent="0.35">
      <c r="A4" t="s">
        <v>47</v>
      </c>
      <c r="B4">
        <v>400</v>
      </c>
      <c r="C4">
        <v>12</v>
      </c>
      <c r="E4" t="s">
        <v>20</v>
      </c>
      <c r="G4" s="9">
        <f>4.0357*Blad1!C18-8.39</f>
        <v>112.68100000000001</v>
      </c>
      <c r="H4" s="9">
        <f>3.8*Blad1!C18</f>
        <v>114</v>
      </c>
      <c r="I4" s="9">
        <f>IF(Blad1!C18&lt;25,H4,G4)</f>
        <v>112.68100000000001</v>
      </c>
      <c r="J4">
        <v>2.6</v>
      </c>
      <c r="K4">
        <v>2.76</v>
      </c>
      <c r="L4">
        <f>M4-(Blad1!$C$29*0.1)</f>
        <v>0</v>
      </c>
      <c r="M4">
        <f>ROUND(Blad1!$C$32,1)</f>
        <v>0</v>
      </c>
      <c r="N4">
        <v>3.5819999999999999</v>
      </c>
      <c r="O4">
        <v>1.0109999999999999</v>
      </c>
      <c r="P4">
        <v>0.04</v>
      </c>
      <c r="Q4" s="21">
        <v>43510</v>
      </c>
      <c r="R4" t="s">
        <v>60</v>
      </c>
      <c r="V4" s="22"/>
    </row>
    <row r="5" spans="1:22" x14ac:dyDescent="0.35">
      <c r="A5" t="s">
        <v>48</v>
      </c>
      <c r="B5">
        <v>800</v>
      </c>
      <c r="C5">
        <v>15</v>
      </c>
      <c r="D5" t="s">
        <v>17</v>
      </c>
      <c r="G5" s="52">
        <f>7.9881*Blad1!C18-15.119</f>
        <v>224.524</v>
      </c>
      <c r="H5" s="9">
        <f>7.6*Blad1!C18</f>
        <v>228</v>
      </c>
      <c r="I5" s="9">
        <f>IF(Blad1!C18&lt;25,H5,G5)</f>
        <v>224.524</v>
      </c>
      <c r="J5">
        <v>5.2</v>
      </c>
      <c r="K5">
        <v>5.5</v>
      </c>
      <c r="L5">
        <f>M5-(Blad1!$C$29*0.1)</f>
        <v>0</v>
      </c>
      <c r="M5">
        <f>ROUND(Blad1!$C$32,1)</f>
        <v>0</v>
      </c>
      <c r="P5">
        <v>0.04</v>
      </c>
      <c r="Q5" s="23"/>
      <c r="V5" s="22"/>
    </row>
    <row r="6" spans="1:22" x14ac:dyDescent="0.35">
      <c r="A6" t="s">
        <v>49</v>
      </c>
      <c r="B6">
        <v>800</v>
      </c>
      <c r="C6">
        <v>15</v>
      </c>
      <c r="E6" t="s">
        <v>20</v>
      </c>
      <c r="G6" s="52">
        <f>7.9881*Blad1!C18-15.119</f>
        <v>224.524</v>
      </c>
      <c r="H6" s="9">
        <f>7.6*Blad1!C18</f>
        <v>228</v>
      </c>
      <c r="I6" s="9">
        <f>IF(Blad1!C18&lt;25,H6,G6)</f>
        <v>224.524</v>
      </c>
      <c r="J6">
        <v>5.2</v>
      </c>
      <c r="K6">
        <v>5.5</v>
      </c>
      <c r="L6">
        <f>M6-(Blad1!$C$29*0.1)</f>
        <v>0</v>
      </c>
      <c r="M6">
        <f>ROUND(Blad1!$C$32,1)</f>
        <v>0</v>
      </c>
      <c r="P6">
        <v>0.08</v>
      </c>
      <c r="Q6" s="23"/>
      <c r="V6" s="22"/>
    </row>
    <row r="7" spans="1:22" x14ac:dyDescent="0.35">
      <c r="A7" t="s">
        <v>50</v>
      </c>
      <c r="B7">
        <v>800</v>
      </c>
      <c r="C7">
        <v>15</v>
      </c>
      <c r="F7" t="s">
        <v>21</v>
      </c>
      <c r="G7" s="52">
        <f>7.9881*Blad1!C18-15.119</f>
        <v>224.524</v>
      </c>
      <c r="H7" s="9">
        <f>7.6*Blad1!C18</f>
        <v>228</v>
      </c>
      <c r="I7" s="9">
        <f>IF(Blad1!C18&lt;25,H7,G7)</f>
        <v>224.524</v>
      </c>
      <c r="J7">
        <v>5.2</v>
      </c>
      <c r="K7">
        <v>5.5</v>
      </c>
      <c r="L7">
        <f>M7-(Blad1!$C$29*0.1)</f>
        <v>0</v>
      </c>
      <c r="M7">
        <f>ROUND(Blad1!$C$32,1)</f>
        <v>0</v>
      </c>
      <c r="P7">
        <v>0.02</v>
      </c>
      <c r="Q7" s="23"/>
      <c r="V7" s="22"/>
    </row>
    <row r="8" spans="1:22" x14ac:dyDescent="0.35">
      <c r="A8" t="s">
        <v>51</v>
      </c>
      <c r="B8">
        <v>1200</v>
      </c>
      <c r="C8">
        <v>15</v>
      </c>
      <c r="D8" t="s">
        <v>17</v>
      </c>
      <c r="G8" s="53">
        <f>12.024*Blad1!C18-24.762</f>
        <v>335.95799999999997</v>
      </c>
      <c r="H8" s="9">
        <f>11.4*Blad1!C18</f>
        <v>342</v>
      </c>
      <c r="I8" s="9">
        <f>IF(Blad1!C20&lt;25,H8,G8)</f>
        <v>335.95799999999997</v>
      </c>
      <c r="J8">
        <v>7.8</v>
      </c>
      <c r="K8">
        <v>8.3000000000000007</v>
      </c>
      <c r="L8">
        <f>M8-(Blad1!$C$29*0.1)</f>
        <v>0</v>
      </c>
      <c r="M8">
        <f>ROUND(Blad1!$C$32,1)</f>
        <v>0</v>
      </c>
      <c r="N8">
        <v>5.0609999999999999</v>
      </c>
      <c r="O8">
        <v>1.1679999999999999</v>
      </c>
      <c r="P8">
        <v>0.06</v>
      </c>
      <c r="Q8" s="23"/>
      <c r="V8" s="22"/>
    </row>
    <row r="9" spans="1:22" x14ac:dyDescent="0.35">
      <c r="A9" t="s">
        <v>52</v>
      </c>
      <c r="B9">
        <v>1200</v>
      </c>
      <c r="C9">
        <v>15</v>
      </c>
      <c r="E9" t="s">
        <v>20</v>
      </c>
      <c r="G9" s="53">
        <f>12.024*Blad1!C18-24.762</f>
        <v>335.95799999999997</v>
      </c>
      <c r="H9" s="9">
        <f>11.4*Blad1!C18</f>
        <v>342</v>
      </c>
      <c r="I9" s="9">
        <f>IF(Blad1!C20&lt;25,H9,G9)</f>
        <v>335.95799999999997</v>
      </c>
      <c r="J9">
        <v>7.8</v>
      </c>
      <c r="K9">
        <v>8.3000000000000007</v>
      </c>
      <c r="L9">
        <f>M9-(Blad1!$C$29*0.1)</f>
        <v>0</v>
      </c>
      <c r="M9">
        <f>ROUND(Blad1!$C$32,1)</f>
        <v>0</v>
      </c>
      <c r="N9">
        <v>5.0609999999999999</v>
      </c>
      <c r="O9">
        <v>1.1679999999999999</v>
      </c>
      <c r="P9">
        <v>0.12</v>
      </c>
      <c r="Q9" s="23"/>
      <c r="V9" s="22"/>
    </row>
    <row r="10" spans="1:22" x14ac:dyDescent="0.35">
      <c r="A10" t="s">
        <v>53</v>
      </c>
      <c r="B10">
        <v>1200</v>
      </c>
      <c r="C10">
        <v>15</v>
      </c>
      <c r="F10" t="s">
        <v>21</v>
      </c>
      <c r="G10" s="53">
        <f>12.024*Blad1!C18-24.762</f>
        <v>335.95799999999997</v>
      </c>
      <c r="H10" s="9">
        <f>11.4*Blad1!C18</f>
        <v>342</v>
      </c>
      <c r="I10" s="9">
        <f>IF(Blad1!C20&lt;25,H10,G10)</f>
        <v>335.95799999999997</v>
      </c>
      <c r="J10">
        <v>7.8</v>
      </c>
      <c r="K10">
        <v>8.3000000000000007</v>
      </c>
      <c r="L10">
        <f>M10-(Blad1!$C$29*0.1)</f>
        <v>0</v>
      </c>
      <c r="M10">
        <f>ROUND(Blad1!$C$32,1)</f>
        <v>0</v>
      </c>
      <c r="N10">
        <v>5.0609999999999999</v>
      </c>
      <c r="O10">
        <v>1.1679999999999999</v>
      </c>
      <c r="P10">
        <v>0.02</v>
      </c>
      <c r="Q10" s="23"/>
      <c r="V10" s="22"/>
    </row>
    <row r="11" spans="1:22" x14ac:dyDescent="0.35">
      <c r="A11" t="s">
        <v>54</v>
      </c>
      <c r="B11">
        <v>615</v>
      </c>
      <c r="C11">
        <v>35</v>
      </c>
      <c r="D11" t="s">
        <v>17</v>
      </c>
      <c r="G11" s="9"/>
      <c r="H11" s="9"/>
      <c r="I11" s="9">
        <f>2.4647*Blad1!C18^1.1927</f>
        <v>142.40544182951936</v>
      </c>
      <c r="J11">
        <v>4.5</v>
      </c>
      <c r="K11">
        <v>6.1</v>
      </c>
      <c r="L11">
        <f>M11-(Blad1!$C$29*0.5)</f>
        <v>0</v>
      </c>
      <c r="M11">
        <f>MROUND(Blad1!$C$32,0.5)</f>
        <v>0</v>
      </c>
      <c r="N11" s="51">
        <f>8.218/3.077</f>
        <v>2.6707832304192394</v>
      </c>
      <c r="O11">
        <v>1.196</v>
      </c>
      <c r="P11">
        <v>3.5999999999999997E-2</v>
      </c>
      <c r="Q11" s="23"/>
      <c r="V11" s="22"/>
    </row>
    <row r="12" spans="1:22" x14ac:dyDescent="0.35">
      <c r="A12" t="s">
        <v>55</v>
      </c>
      <c r="B12">
        <v>615</v>
      </c>
      <c r="C12">
        <v>35</v>
      </c>
      <c r="E12" t="s">
        <v>20</v>
      </c>
      <c r="G12" s="9"/>
      <c r="H12" s="9"/>
      <c r="I12" s="9">
        <f>2.4647*Blad1!C18^1.1927</f>
        <v>142.40544182951936</v>
      </c>
      <c r="J12">
        <v>4.5</v>
      </c>
      <c r="K12">
        <v>6.1</v>
      </c>
      <c r="L12">
        <f>M12-(Blad1!$C$29*0.5)</f>
        <v>0</v>
      </c>
      <c r="M12">
        <f>MROUND(Blad1!$C$32,0.5)</f>
        <v>0</v>
      </c>
      <c r="N12" s="51">
        <f>8.218/3.077</f>
        <v>2.6707832304192394</v>
      </c>
      <c r="O12">
        <v>1.196</v>
      </c>
      <c r="P12">
        <v>7.1999999999999995E-2</v>
      </c>
      <c r="Q12" s="23"/>
      <c r="V12" s="22"/>
    </row>
    <row r="13" spans="1:22" x14ac:dyDescent="0.35">
      <c r="A13" t="s">
        <v>56</v>
      </c>
      <c r="B13">
        <v>900</v>
      </c>
      <c r="C13">
        <v>35</v>
      </c>
      <c r="D13" t="s">
        <v>17</v>
      </c>
      <c r="H13" s="9"/>
      <c r="I13" s="9">
        <f>3.8271*Blad1!C18^1.1902</f>
        <v>219.24996242761782</v>
      </c>
      <c r="J13">
        <v>6.9</v>
      </c>
      <c r="K13">
        <v>9.3000000000000007</v>
      </c>
      <c r="L13">
        <f>M13-(Blad1!$C$29*0.5)</f>
        <v>0</v>
      </c>
      <c r="M13">
        <f>MROUND(Blad1!$C$32,0.5)</f>
        <v>0</v>
      </c>
      <c r="N13" s="51">
        <f>11.979/3.077</f>
        <v>3.8930776730581735</v>
      </c>
      <c r="O13">
        <v>1.1919999999999999</v>
      </c>
      <c r="P13">
        <v>7.1999999999999995E-2</v>
      </c>
      <c r="Q13" s="23"/>
      <c r="V13" s="22"/>
    </row>
    <row r="14" spans="1:22" x14ac:dyDescent="0.35">
      <c r="A14" t="s">
        <v>57</v>
      </c>
      <c r="B14">
        <v>900</v>
      </c>
      <c r="C14">
        <v>35</v>
      </c>
      <c r="E14" t="s">
        <v>20</v>
      </c>
      <c r="H14" s="9"/>
      <c r="I14" s="9">
        <f>3.8271*Blad1!C18^1.1902</f>
        <v>219.24996242761782</v>
      </c>
      <c r="J14">
        <v>6.9</v>
      </c>
      <c r="K14">
        <v>9.3000000000000007</v>
      </c>
      <c r="L14">
        <f>M14-(Blad1!$C$29*0.5)</f>
        <v>0</v>
      </c>
      <c r="M14">
        <f>MROUND(Blad1!$C$32,0.5)</f>
        <v>0</v>
      </c>
      <c r="N14" s="51">
        <f t="shared" ref="N14:N15" si="0">11.979/3.077</f>
        <v>3.8930776730581735</v>
      </c>
      <c r="O14">
        <v>1.1919999999999999</v>
      </c>
      <c r="P14">
        <v>0.108</v>
      </c>
      <c r="Q14" s="23"/>
      <c r="V14" s="22"/>
    </row>
    <row r="15" spans="1:22" x14ac:dyDescent="0.35">
      <c r="A15" t="s">
        <v>58</v>
      </c>
      <c r="B15">
        <v>900</v>
      </c>
      <c r="C15">
        <v>35</v>
      </c>
      <c r="F15" t="s">
        <v>21</v>
      </c>
      <c r="H15" s="9"/>
      <c r="I15" s="9">
        <f>3.8271*Blad1!C18^1.1902</f>
        <v>219.24996242761782</v>
      </c>
      <c r="J15">
        <v>6.9</v>
      </c>
      <c r="K15">
        <v>9.3000000000000007</v>
      </c>
      <c r="L15">
        <f>M15-(Blad1!$C$29*0.5)</f>
        <v>0</v>
      </c>
      <c r="M15">
        <f>MROUND(Blad1!$C$32,0.5)</f>
        <v>0</v>
      </c>
      <c r="N15" s="51">
        <f t="shared" si="0"/>
        <v>3.8930776730581735</v>
      </c>
      <c r="O15">
        <v>1.1919999999999999</v>
      </c>
      <c r="P15">
        <v>3.5999999999999997E-2</v>
      </c>
      <c r="Q15" s="23"/>
      <c r="V15" s="22"/>
    </row>
    <row r="16" spans="1:22" x14ac:dyDescent="0.35">
      <c r="Q16" s="23"/>
      <c r="V16" s="22"/>
    </row>
    <row r="17" spans="1:22" x14ac:dyDescent="0.35">
      <c r="Q17" s="23"/>
      <c r="V17" s="22"/>
    </row>
    <row r="18" spans="1:22" ht="15" thickBot="1" x14ac:dyDescent="0.4">
      <c r="Q18" s="24"/>
      <c r="R18" s="25"/>
      <c r="S18" s="25"/>
      <c r="T18" s="25"/>
      <c r="U18" s="25"/>
      <c r="V18" s="26"/>
    </row>
    <row r="22" spans="1:22" x14ac:dyDescent="0.35">
      <c r="B22" s="71" t="s">
        <v>25</v>
      </c>
      <c r="C22" s="71"/>
      <c r="D22" s="71"/>
      <c r="E22" s="71" t="s">
        <v>26</v>
      </c>
      <c r="F22" s="71"/>
      <c r="G22" s="71"/>
      <c r="H22" s="71" t="s">
        <v>27</v>
      </c>
      <c r="I22" s="71"/>
      <c r="J22" s="71"/>
    </row>
    <row r="23" spans="1:22" x14ac:dyDescent="0.35">
      <c r="B23" s="8" t="s">
        <v>2</v>
      </c>
      <c r="C23" s="8" t="s">
        <v>4</v>
      </c>
      <c r="D23" s="8" t="s">
        <v>3</v>
      </c>
      <c r="E23" s="8" t="s">
        <v>2</v>
      </c>
      <c r="F23" s="8" t="s">
        <v>4</v>
      </c>
      <c r="G23" s="8" t="s">
        <v>3</v>
      </c>
      <c r="H23" s="8" t="s">
        <v>2</v>
      </c>
      <c r="I23" s="8" t="s">
        <v>4</v>
      </c>
      <c r="J23" s="8" t="s">
        <v>3</v>
      </c>
    </row>
    <row r="24" spans="1:22" x14ac:dyDescent="0.35">
      <c r="A24" t="s">
        <v>28</v>
      </c>
      <c r="C24">
        <f>$D24</f>
        <v>0</v>
      </c>
      <c r="D24">
        <f>Blad1!$C$32</f>
        <v>0</v>
      </c>
      <c r="F24" t="str">
        <f>$G24</f>
        <v>Ievadiet vēlamo garumu rindā/virknē.</v>
      </c>
      <c r="G24" t="str">
        <f>Blad1!$F$32</f>
        <v>Ievadiet vēlamo garumu rindā/virknē.</v>
      </c>
      <c r="I24">
        <f>$J24</f>
        <v>0</v>
      </c>
      <c r="J24">
        <f>Blad1!$I$32</f>
        <v>0</v>
      </c>
    </row>
    <row r="25" spans="1:22" x14ac:dyDescent="0.35">
      <c r="A25" t="s">
        <v>28</v>
      </c>
      <c r="C25">
        <f t="shared" ref="C25:C26" si="1">$D25</f>
        <v>0</v>
      </c>
      <c r="D25">
        <f>Blad1!$C$32</f>
        <v>0</v>
      </c>
      <c r="F25" t="str">
        <f t="shared" ref="F25:F26" si="2">$G25</f>
        <v>Ievadiet vēlamo garumu rindā/virknē.</v>
      </c>
      <c r="G25" t="str">
        <f>Blad1!$F$32</f>
        <v>Ievadiet vēlamo garumu rindā/virknē.</v>
      </c>
      <c r="I25">
        <f t="shared" ref="I25:I26" si="3">$J25</f>
        <v>0</v>
      </c>
      <c r="J25">
        <f>Blad1!$I$32</f>
        <v>0</v>
      </c>
    </row>
    <row r="26" spans="1:22" x14ac:dyDescent="0.35">
      <c r="A26" t="s">
        <v>28</v>
      </c>
      <c r="C26">
        <f t="shared" si="1"/>
        <v>0</v>
      </c>
      <c r="D26">
        <f>Blad1!$C$32</f>
        <v>0</v>
      </c>
      <c r="F26" t="str">
        <f t="shared" si="2"/>
        <v>Ievadiet vēlamo garumu rindā/virknē.</v>
      </c>
      <c r="G26" t="str">
        <f>Blad1!$F$32</f>
        <v>Ievadiet vēlamo garumu rindā/virknē.</v>
      </c>
      <c r="I26">
        <f t="shared" si="3"/>
        <v>0</v>
      </c>
      <c r="J26">
        <f>Blad1!$I$32</f>
        <v>0</v>
      </c>
    </row>
    <row r="27" spans="1:22" x14ac:dyDescent="0.35">
      <c r="A27" t="s">
        <v>29</v>
      </c>
      <c r="C27">
        <f>Blad1!$C$32-(Blad1!$C$29*0.5)</f>
        <v>0</v>
      </c>
      <c r="F27" t="e">
        <f>Blad1!$F$32-(Blad1!$F$29*0.5)</f>
        <v>#VALUE!</v>
      </c>
      <c r="I27">
        <f>Blad1!$I$32-(Blad1!$I$29*0.5)</f>
        <v>0</v>
      </c>
    </row>
    <row r="28" spans="1:22" x14ac:dyDescent="0.35">
      <c r="A28" t="s">
        <v>29</v>
      </c>
      <c r="C28">
        <f>Blad1!$C$32-(Blad1!$C$29*0.5)</f>
        <v>0</v>
      </c>
      <c r="F28" t="e">
        <f>Blad1!$F$32-(Blad1!$F$29*0.5)</f>
        <v>#VALUE!</v>
      </c>
      <c r="I28">
        <f>Blad1!$I$32-(Blad1!$I$29*0.5)</f>
        <v>0</v>
      </c>
    </row>
  </sheetData>
  <mergeCells count="4">
    <mergeCell ref="H22:J22"/>
    <mergeCell ref="D2:F2"/>
    <mergeCell ref="B22:D22"/>
    <mergeCell ref="E22:G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Blad1</vt:lpstr>
      <vt:lpstr>Data</vt:lpstr>
      <vt:lpstr>kopl400</vt:lpstr>
      <vt:lpstr>Kopplingstyp1</vt:lpstr>
      <vt:lpstr>Panelmodell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Valdis Bergmanis</cp:lastModifiedBy>
  <cp:lastPrinted>2019-02-15T14:37:25Z</cp:lastPrinted>
  <dcterms:created xsi:type="dcterms:W3CDTF">2016-11-15T05:51:33Z</dcterms:created>
  <dcterms:modified xsi:type="dcterms:W3CDTF">2019-08-20T06:39:09Z</dcterms:modified>
</cp:coreProperties>
</file>